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6\на 01.03.2026\"/>
    </mc:Choice>
  </mc:AlternateContent>
  <xr:revisionPtr revIDLastSave="0" documentId="13_ncr:1_{43D57AD7-9F10-4C17-8A7E-092CA7BFA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/>
</workbook>
</file>

<file path=xl/calcChain.xml><?xml version="1.0" encoding="utf-8"?>
<calcChain xmlns="http://schemas.openxmlformats.org/spreadsheetml/2006/main">
  <c r="Q25" i="1" l="1"/>
  <c r="R25" i="1"/>
  <c r="P25" i="1"/>
  <c r="K23" i="1"/>
  <c r="J23" i="1"/>
  <c r="I23" i="1"/>
  <c r="H23" i="1"/>
  <c r="D23" i="1" s="1"/>
  <c r="G24" i="1"/>
  <c r="F24" i="1"/>
  <c r="E24" i="1"/>
  <c r="D24" i="1"/>
  <c r="O5" i="1"/>
  <c r="N5" i="1"/>
  <c r="O21" i="1"/>
  <c r="N21" i="1"/>
  <c r="K22" i="1" l="1"/>
  <c r="J22" i="1"/>
  <c r="K21" i="1"/>
  <c r="J21" i="1"/>
  <c r="I21" i="1"/>
  <c r="H21" i="1"/>
  <c r="K16" i="1"/>
  <c r="J16" i="1"/>
  <c r="K15" i="1"/>
  <c r="J15" i="1"/>
  <c r="I15" i="1"/>
  <c r="H15" i="1"/>
  <c r="K12" i="1"/>
  <c r="J12" i="1"/>
  <c r="K9" i="1"/>
  <c r="J9" i="1"/>
  <c r="K8" i="1"/>
  <c r="J8" i="1"/>
  <c r="K5" i="1"/>
  <c r="J5" i="1"/>
  <c r="I5" i="1"/>
  <c r="H5" i="1"/>
  <c r="H25" i="1" s="1"/>
  <c r="D20" i="1" l="1"/>
  <c r="E20" i="1"/>
  <c r="F20" i="1"/>
  <c r="G20" i="1"/>
  <c r="D19" i="1" l="1"/>
  <c r="E19" i="1"/>
  <c r="F19" i="1"/>
  <c r="G19" i="1"/>
  <c r="E23" i="1"/>
  <c r="F23" i="1"/>
  <c r="G23" i="1"/>
  <c r="G5" i="1"/>
  <c r="G15" i="1"/>
  <c r="G21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D16" i="1"/>
  <c r="E16" i="1"/>
  <c r="F16" i="1"/>
  <c r="G16" i="1"/>
  <c r="D21" i="1"/>
  <c r="E21" i="1"/>
  <c r="F21" i="1"/>
  <c r="D22" i="1"/>
  <c r="E22" i="1"/>
  <c r="F22" i="1"/>
  <c r="G22" i="1"/>
  <c r="D17" i="1"/>
  <c r="E17" i="1"/>
  <c r="F17" i="1"/>
  <c r="G17" i="1"/>
  <c r="D18" i="1"/>
  <c r="E18" i="1"/>
  <c r="F18" i="1"/>
  <c r="G18" i="1"/>
  <c r="O25" i="1" l="1"/>
  <c r="L25" i="1" l="1"/>
  <c r="D25" i="1" s="1"/>
  <c r="K25" i="1" l="1"/>
  <c r="I25" i="1" l="1"/>
  <c r="J25" i="1" l="1"/>
  <c r="M25" i="1"/>
  <c r="E25" i="1" s="1"/>
  <c r="N25" i="1"/>
  <c r="G25" i="1" l="1"/>
  <c r="F25" i="1"/>
</calcChain>
</file>

<file path=xl/sharedStrings.xml><?xml version="1.0" encoding="utf-8"?>
<sst xmlns="http://schemas.openxmlformats.org/spreadsheetml/2006/main" count="45" uniqueCount="42">
  <si>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</si>
  <si>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</si>
  <si>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</si>
  <si>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</si>
  <si>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</si>
  <si>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</si>
  <si>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</si>
  <si>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</si>
  <si>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</si>
  <si>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</si>
  <si>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</si>
  <si>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</si>
  <si>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</si>
  <si>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</si>
  <si>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</si>
  <si>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</si>
  <si>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</si>
  <si>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</si>
  <si>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</si>
  <si>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</si>
  <si>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</si>
  <si>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</si>
  <si>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</si>
  <si>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</si>
  <si>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</si>
  <si>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</si>
  <si>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</si>
  <si>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</si>
  <si>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</si>
  <si>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</si>
  <si>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</si>
  <si>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</si>
  <si>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</si>
  <si>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ПАО "Совкомбанк"</t>
  </si>
  <si>
    <t xml:space="preserve"> </t>
  </si>
  <si>
    <t>ПАО "Банк ПСБ"</t>
  </si>
  <si>
    <t>2007-2026 гг.</t>
  </si>
  <si>
    <t>2026 г.</t>
  </si>
  <si>
    <t>2007-2025</t>
  </si>
  <si>
    <t>Сведения о поручительствах, предоставленных НО "Алтайский фонд МСП", в разрезе финансовых организаций - партнеров на 01.03.2026</t>
  </si>
  <si>
    <t>Действующие поручительства на 01.03.2026</t>
  </si>
  <si>
    <t>Бывшие банки-партнеры, в т.ч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</si>
</sst>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53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5" fillId="0" borderId="0" xfId="0" applyNumberFormat="1" applyFont="1"/>
    <xf numFmtId="165" fontId="0" fillId="0" borderId="0" xfId="0" applyNumberForma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13" fillId="0" borderId="0" xfId="0" applyNumberFormat="1" applyFont="1"/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X36"/>
  <sheetViews>
    <sheetView tabSelected="1" topLeftCell="B1" zoomScale="78" zoomScaleNormal="78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C24" sqref="C24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  <col min="20" max="20" width="13.85546875" customWidth="1"/>
    <col min="22" max="22" width="13.140625" customWidth="1"/>
    <col min="23" max="23" width="15.28515625" customWidth="1"/>
  </cols>
  <sheetData>
    <row r="1" spans="1:24" ht="20.25" customHeight="1" x14ac:dyDescent="0.25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4" s="4" customFormat="1" ht="15.7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4" s="4" customFormat="1" ht="23.25" customHeight="1" x14ac:dyDescent="0.25">
      <c r="A3" s="37" t="s">
        <v>3</v>
      </c>
      <c r="B3" s="38" t="s">
        <v>3</v>
      </c>
      <c r="C3" s="38" t="s">
        <v>27</v>
      </c>
      <c r="D3" s="39" t="s">
        <v>36</v>
      </c>
      <c r="E3" s="40"/>
      <c r="F3" s="40"/>
      <c r="G3" s="41"/>
      <c r="H3" s="39" t="s">
        <v>38</v>
      </c>
      <c r="I3" s="40"/>
      <c r="J3" s="40"/>
      <c r="K3" s="41"/>
      <c r="L3" s="39" t="s">
        <v>37</v>
      </c>
      <c r="M3" s="40"/>
      <c r="N3" s="40"/>
      <c r="O3" s="41"/>
      <c r="P3" s="36" t="s">
        <v>40</v>
      </c>
      <c r="Q3" s="36"/>
      <c r="R3" s="36"/>
    </row>
    <row r="4" spans="1:24" s="4" customFormat="1" ht="112.5" customHeight="1" x14ac:dyDescent="0.25">
      <c r="A4" s="37"/>
      <c r="B4" s="38"/>
      <c r="C4" s="38"/>
      <c r="D4" s="6" t="s">
        <v>21</v>
      </c>
      <c r="E4" s="6" t="s">
        <v>2</v>
      </c>
      <c r="F4" s="6" t="s">
        <v>1</v>
      </c>
      <c r="G4" s="6" t="s">
        <v>22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24</v>
      </c>
      <c r="M4" s="6" t="s">
        <v>18</v>
      </c>
      <c r="N4" s="6" t="s">
        <v>25</v>
      </c>
      <c r="O4" s="6" t="s">
        <v>20</v>
      </c>
      <c r="P4" s="1" t="s">
        <v>23</v>
      </c>
      <c r="Q4" s="1" t="s">
        <v>4</v>
      </c>
      <c r="R4" s="1" t="s">
        <v>5</v>
      </c>
    </row>
    <row r="5" spans="1:24" s="4" customFormat="1" ht="18.75" x14ac:dyDescent="0.3">
      <c r="A5" s="5">
        <v>1</v>
      </c>
      <c r="B5" s="5">
        <v>1</v>
      </c>
      <c r="C5" s="7" t="s">
        <v>6</v>
      </c>
      <c r="D5" s="8">
        <f>H5+L5</f>
        <v>705</v>
      </c>
      <c r="E5" s="8">
        <f t="shared" ref="E5:E22" si="0">I5+M5</f>
        <v>814</v>
      </c>
      <c r="F5" s="9">
        <f t="shared" ref="F5:F22" si="1">J5+N5</f>
        <v>4663004055.5100002</v>
      </c>
      <c r="G5" s="9">
        <f t="shared" ref="G5:G22" si="2">K5+O5</f>
        <v>23965862185.950001</v>
      </c>
      <c r="H5" s="8">
        <f>(560+(78+4+2))+(8+11+4+6+3+5+3+6+3+1+7)</f>
        <v>701</v>
      </c>
      <c r="I5" s="8">
        <f>(641+(86+5+4))+(27+7+4+7+3+9+3+2+12)</f>
        <v>810</v>
      </c>
      <c r="J5" s="9">
        <f>(3206777881.53+(23950000+17148147+110500000+105400000+41575000+81919696.98+122700000+82433750+58000000+17500000+43700000+10000000))+(28690000+47750000+102000000+30300000+49950000+19400000+77150000+58500000+137545000+9250000+14750000+92774680)</f>
        <v>4589664155.5100002</v>
      </c>
      <c r="K5" s="9">
        <f>(7957943092+(64300000+49600000+221000000+210800000+83150000+182944093.95+251800000+165775000+116000000+35000000+111400000+8109608000))+(4959552000+95500000+204000000+60600000+99900000+38800000+154300000+117000000+275090000+18500000+29500000+202600000)</f>
        <v>23814662185.950001</v>
      </c>
      <c r="L5" s="8">
        <v>4</v>
      </c>
      <c r="M5" s="10">
        <v>4</v>
      </c>
      <c r="N5" s="25">
        <f>24350000+48989900</f>
        <v>73339900</v>
      </c>
      <c r="O5" s="25">
        <f>48700000+102500000</f>
        <v>151200000</v>
      </c>
      <c r="P5" s="2">
        <v>252</v>
      </c>
      <c r="Q5" s="30">
        <v>1849809996.3800001</v>
      </c>
      <c r="R5" s="30">
        <v>17180960973.950001</v>
      </c>
      <c r="T5" s="31"/>
      <c r="U5" s="31"/>
      <c r="V5" s="31"/>
      <c r="W5" s="31"/>
      <c r="X5" s="31"/>
    </row>
    <row r="6" spans="1:24" s="4" customFormat="1" ht="20.25" customHeight="1" x14ac:dyDescent="0.3">
      <c r="A6" s="5">
        <v>2</v>
      </c>
      <c r="B6" s="5">
        <v>2</v>
      </c>
      <c r="C6" s="7" t="s">
        <v>7</v>
      </c>
      <c r="D6" s="8">
        <f t="shared" ref="D6:D22" si="3">H6+L6</f>
        <v>41</v>
      </c>
      <c r="E6" s="8">
        <f t="shared" si="0"/>
        <v>50</v>
      </c>
      <c r="F6" s="9">
        <f t="shared" si="1"/>
        <v>284040340</v>
      </c>
      <c r="G6" s="9">
        <f t="shared" si="2"/>
        <v>861055109</v>
      </c>
      <c r="H6" s="8">
        <v>41</v>
      </c>
      <c r="I6" s="8">
        <v>50</v>
      </c>
      <c r="J6" s="9">
        <v>284040340</v>
      </c>
      <c r="K6" s="9">
        <v>861055109</v>
      </c>
      <c r="L6" s="8"/>
      <c r="M6" s="8"/>
      <c r="N6" s="29"/>
      <c r="O6" s="29"/>
      <c r="P6" s="2"/>
      <c r="Q6" s="30"/>
      <c r="R6" s="30"/>
      <c r="T6" s="31"/>
      <c r="U6" s="31"/>
      <c r="V6" s="31"/>
      <c r="W6" s="31"/>
    </row>
    <row r="7" spans="1:24" s="4" customFormat="1" ht="18.75" x14ac:dyDescent="0.3">
      <c r="A7" s="5">
        <v>4</v>
      </c>
      <c r="B7" s="5">
        <v>3</v>
      </c>
      <c r="C7" s="11" t="s">
        <v>35</v>
      </c>
      <c r="D7" s="8">
        <f t="shared" si="3"/>
        <v>37</v>
      </c>
      <c r="E7" s="8">
        <f t="shared" si="0"/>
        <v>42</v>
      </c>
      <c r="F7" s="9">
        <f t="shared" si="1"/>
        <v>402994000</v>
      </c>
      <c r="G7" s="9">
        <f t="shared" si="2"/>
        <v>1322500002</v>
      </c>
      <c r="H7" s="8">
        <v>37</v>
      </c>
      <c r="I7" s="8">
        <v>42</v>
      </c>
      <c r="J7" s="9">
        <v>402994000</v>
      </c>
      <c r="K7" s="9">
        <v>1322500002</v>
      </c>
      <c r="L7" s="8"/>
      <c r="M7" s="23"/>
      <c r="N7" s="9"/>
      <c r="O7" s="9"/>
      <c r="P7" s="2">
        <v>7</v>
      </c>
      <c r="Q7" s="30">
        <v>120699000</v>
      </c>
      <c r="R7" s="30">
        <v>362000000</v>
      </c>
      <c r="T7" s="31"/>
      <c r="U7" s="31"/>
      <c r="V7" s="31"/>
      <c r="W7" s="31"/>
    </row>
    <row r="8" spans="1:24" s="4" customFormat="1" ht="18.75" x14ac:dyDescent="0.3">
      <c r="A8" s="5">
        <v>5</v>
      </c>
      <c r="B8" s="5">
        <v>4</v>
      </c>
      <c r="C8" s="7" t="s">
        <v>8</v>
      </c>
      <c r="D8" s="8">
        <f t="shared" si="3"/>
        <v>29</v>
      </c>
      <c r="E8" s="8">
        <f t="shared" si="0"/>
        <v>30</v>
      </c>
      <c r="F8" s="9">
        <f t="shared" si="1"/>
        <v>203545000</v>
      </c>
      <c r="G8" s="9">
        <f t="shared" si="2"/>
        <v>628545000</v>
      </c>
      <c r="H8" s="8">
        <v>29</v>
      </c>
      <c r="I8" s="8">
        <v>30</v>
      </c>
      <c r="J8" s="9">
        <f>(161545000+(7000000+10000000))+25000000</f>
        <v>203545000</v>
      </c>
      <c r="K8" s="9">
        <f>(498845000+(15900000+37800000))+76000000</f>
        <v>628545000</v>
      </c>
      <c r="L8" s="8"/>
      <c r="M8" s="10"/>
      <c r="N8" s="25"/>
      <c r="O8" s="25"/>
      <c r="P8" s="2">
        <v>4</v>
      </c>
      <c r="Q8" s="30">
        <v>47000000</v>
      </c>
      <c r="R8" s="30">
        <v>140450000</v>
      </c>
      <c r="T8" s="31"/>
      <c r="U8" s="31"/>
      <c r="V8" s="31"/>
      <c r="W8" s="31"/>
    </row>
    <row r="9" spans="1:24" s="4" customFormat="1" ht="18.75" x14ac:dyDescent="0.3">
      <c r="A9" s="5">
        <v>6</v>
      </c>
      <c r="B9" s="5">
        <v>5</v>
      </c>
      <c r="C9" s="7" t="s">
        <v>9</v>
      </c>
      <c r="D9" s="8">
        <f t="shared" si="3"/>
        <v>11</v>
      </c>
      <c r="E9" s="8">
        <f t="shared" si="0"/>
        <v>12</v>
      </c>
      <c r="F9" s="9">
        <f t="shared" si="1"/>
        <v>113495834</v>
      </c>
      <c r="G9" s="9">
        <f t="shared" si="2"/>
        <v>232625000</v>
      </c>
      <c r="H9" s="8">
        <v>11</v>
      </c>
      <c r="I9" s="8">
        <v>12</v>
      </c>
      <c r="J9" s="9">
        <f>(12495834+(38500000))+(28000000+22500000+12000000)</f>
        <v>113495834</v>
      </c>
      <c r="K9" s="9">
        <f>(30625000+(55000000))+(40000000+83000000+24000000)</f>
        <v>232625000</v>
      </c>
      <c r="L9" s="8"/>
      <c r="M9" s="8"/>
      <c r="N9" s="25"/>
      <c r="O9" s="25"/>
      <c r="P9" s="2">
        <v>4</v>
      </c>
      <c r="Q9" s="30">
        <v>93500000</v>
      </c>
      <c r="R9" s="30">
        <v>187000000</v>
      </c>
      <c r="T9" s="31"/>
      <c r="U9" s="31"/>
      <c r="V9" s="31"/>
      <c r="W9" s="31"/>
    </row>
    <row r="10" spans="1:24" s="4" customFormat="1" ht="18.75" x14ac:dyDescent="0.3">
      <c r="A10" s="5">
        <v>7</v>
      </c>
      <c r="B10" s="5">
        <v>6</v>
      </c>
      <c r="C10" s="7" t="s">
        <v>10</v>
      </c>
      <c r="D10" s="8">
        <f t="shared" si="3"/>
        <v>21</v>
      </c>
      <c r="E10" s="8">
        <f t="shared" si="0"/>
        <v>24</v>
      </c>
      <c r="F10" s="9">
        <f t="shared" si="1"/>
        <v>147585000</v>
      </c>
      <c r="G10" s="9">
        <f t="shared" si="2"/>
        <v>429782800</v>
      </c>
      <c r="H10" s="8">
        <v>21</v>
      </c>
      <c r="I10" s="8">
        <v>24</v>
      </c>
      <c r="J10" s="9">
        <v>147585000</v>
      </c>
      <c r="K10" s="9">
        <v>429782800</v>
      </c>
      <c r="L10" s="8"/>
      <c r="M10" s="10"/>
      <c r="N10" s="25"/>
      <c r="O10" s="25"/>
      <c r="P10" s="2"/>
      <c r="Q10" s="30"/>
      <c r="R10" s="30"/>
      <c r="T10" s="31"/>
      <c r="U10" s="31"/>
      <c r="V10" s="31"/>
      <c r="W10" s="31"/>
    </row>
    <row r="11" spans="1:24" s="4" customFormat="1" ht="18.75" x14ac:dyDescent="0.3">
      <c r="A11" s="5">
        <v>8</v>
      </c>
      <c r="B11" s="5">
        <v>7</v>
      </c>
      <c r="C11" s="7" t="s">
        <v>11</v>
      </c>
      <c r="D11" s="8">
        <f t="shared" si="3"/>
        <v>5</v>
      </c>
      <c r="E11" s="8">
        <f t="shared" si="0"/>
        <v>6</v>
      </c>
      <c r="F11" s="9">
        <f t="shared" si="1"/>
        <v>8320919</v>
      </c>
      <c r="G11" s="9">
        <f t="shared" si="2"/>
        <v>20581838</v>
      </c>
      <c r="H11" s="8">
        <v>5</v>
      </c>
      <c r="I11" s="8">
        <v>6</v>
      </c>
      <c r="J11" s="9">
        <v>8320919</v>
      </c>
      <c r="K11" s="9">
        <v>20581838</v>
      </c>
      <c r="L11" s="8"/>
      <c r="M11" s="10"/>
      <c r="N11" s="25"/>
      <c r="O11" s="25"/>
      <c r="P11" s="2"/>
      <c r="Q11" s="30"/>
      <c r="R11" s="30"/>
      <c r="T11" s="31"/>
      <c r="U11" s="31"/>
      <c r="V11" s="31"/>
      <c r="W11" s="31"/>
    </row>
    <row r="12" spans="1:24" s="4" customFormat="1" ht="18.75" x14ac:dyDescent="0.3">
      <c r="A12" s="5">
        <v>9</v>
      </c>
      <c r="B12" s="5">
        <v>8</v>
      </c>
      <c r="C12" s="7" t="s">
        <v>32</v>
      </c>
      <c r="D12" s="8">
        <f t="shared" si="3"/>
        <v>141</v>
      </c>
      <c r="E12" s="8">
        <f t="shared" si="0"/>
        <v>152</v>
      </c>
      <c r="F12" s="9">
        <f t="shared" si="1"/>
        <v>701121666.26999998</v>
      </c>
      <c r="G12" s="9">
        <f t="shared" si="2"/>
        <v>1750233043.78</v>
      </c>
      <c r="H12" s="8">
        <v>141</v>
      </c>
      <c r="I12" s="8">
        <v>152</v>
      </c>
      <c r="J12" s="9">
        <f>(678921666.27+(4200000+2000000+13000000+3000000))+0</f>
        <v>701121666.26999998</v>
      </c>
      <c r="K12" s="9">
        <f>(1669233043.53+(14000000+4000000+50000000+13000000)+0.25)+0</f>
        <v>1750233043.78</v>
      </c>
      <c r="L12" s="8"/>
      <c r="M12" s="10"/>
      <c r="N12" s="25"/>
      <c r="O12" s="25"/>
      <c r="P12" s="2">
        <v>4</v>
      </c>
      <c r="Q12" s="30">
        <v>26200000</v>
      </c>
      <c r="R12" s="30">
        <v>93000000</v>
      </c>
      <c r="T12" s="31"/>
      <c r="U12" s="31"/>
      <c r="V12" s="31"/>
      <c r="W12" s="31"/>
    </row>
    <row r="13" spans="1:24" s="4" customFormat="1" ht="18.75" x14ac:dyDescent="0.3">
      <c r="A13" s="5">
        <v>10</v>
      </c>
      <c r="B13" s="5">
        <v>9</v>
      </c>
      <c r="C13" s="7" t="s">
        <v>12</v>
      </c>
      <c r="D13" s="8">
        <f t="shared" si="3"/>
        <v>51</v>
      </c>
      <c r="E13" s="8">
        <f t="shared" si="0"/>
        <v>51</v>
      </c>
      <c r="F13" s="9">
        <f t="shared" si="1"/>
        <v>95810000</v>
      </c>
      <c r="G13" s="9">
        <f t="shared" si="2"/>
        <v>208700000</v>
      </c>
      <c r="H13" s="8">
        <v>50</v>
      </c>
      <c r="I13" s="8">
        <v>50</v>
      </c>
      <c r="J13" s="9">
        <v>87310000</v>
      </c>
      <c r="K13" s="9">
        <v>191700000</v>
      </c>
      <c r="L13" s="8">
        <v>1</v>
      </c>
      <c r="M13" s="10">
        <v>1</v>
      </c>
      <c r="N13" s="9">
        <v>8500000</v>
      </c>
      <c r="O13" s="9">
        <v>17000000</v>
      </c>
      <c r="P13" s="2">
        <v>3</v>
      </c>
      <c r="Q13" s="30">
        <v>21500000</v>
      </c>
      <c r="R13" s="30">
        <v>43000000</v>
      </c>
      <c r="T13" s="31"/>
      <c r="U13" s="31"/>
      <c r="V13" s="31"/>
      <c r="W13" s="31"/>
    </row>
    <row r="14" spans="1:24" s="4" customFormat="1" ht="18.75" x14ac:dyDescent="0.3">
      <c r="A14" s="5">
        <v>11</v>
      </c>
      <c r="B14" s="5">
        <v>10</v>
      </c>
      <c r="C14" s="7" t="s">
        <v>13</v>
      </c>
      <c r="D14" s="8">
        <f t="shared" si="3"/>
        <v>1</v>
      </c>
      <c r="E14" s="8">
        <f t="shared" si="0"/>
        <v>1</v>
      </c>
      <c r="F14" s="9">
        <f t="shared" si="1"/>
        <v>6000000</v>
      </c>
      <c r="G14" s="9">
        <f t="shared" si="2"/>
        <v>10000000</v>
      </c>
      <c r="H14" s="8">
        <v>1</v>
      </c>
      <c r="I14" s="8">
        <v>1</v>
      </c>
      <c r="J14" s="9">
        <v>6000000</v>
      </c>
      <c r="K14" s="9">
        <v>10000000</v>
      </c>
      <c r="L14" s="8"/>
      <c r="M14" s="10"/>
      <c r="N14" s="9"/>
      <c r="O14" s="9"/>
      <c r="P14" s="2"/>
      <c r="Q14" s="30"/>
      <c r="R14" s="30"/>
      <c r="T14" s="31"/>
      <c r="U14" s="31"/>
      <c r="V14" s="31"/>
      <c r="W14" s="31"/>
    </row>
    <row r="15" spans="1:24" s="4" customFormat="1" ht="18.75" x14ac:dyDescent="0.3">
      <c r="A15" s="5">
        <v>13</v>
      </c>
      <c r="B15" s="5">
        <v>11</v>
      </c>
      <c r="C15" s="7" t="s">
        <v>15</v>
      </c>
      <c r="D15" s="8">
        <f t="shared" si="3"/>
        <v>20</v>
      </c>
      <c r="E15" s="8">
        <f t="shared" si="0"/>
        <v>24</v>
      </c>
      <c r="F15" s="9">
        <f t="shared" si="1"/>
        <v>282296500</v>
      </c>
      <c r="G15" s="9">
        <f t="shared" si="2"/>
        <v>745983000</v>
      </c>
      <c r="H15" s="8">
        <f>15+(4+1)</f>
        <v>20</v>
      </c>
      <c r="I15" s="8">
        <f>18+(4+2)</f>
        <v>24</v>
      </c>
      <c r="J15" s="9">
        <f>(103946800+(2136000+10672000+28000000+8210700+8800000+9007000+7000000))+(3540000+28264000+14020000+58700000)</f>
        <v>282296500</v>
      </c>
      <c r="K15" s="9">
        <f>(262443000+(6000000+17344000+40400000+16500000+17600000+23866000+13920000))+(20000000+76050000+35060000+216800000)</f>
        <v>745983000</v>
      </c>
      <c r="L15" s="8"/>
      <c r="M15" s="10"/>
      <c r="N15" s="9"/>
      <c r="O15" s="9"/>
      <c r="P15" s="2">
        <v>17</v>
      </c>
      <c r="Q15" s="30">
        <v>204788500</v>
      </c>
      <c r="R15" s="30">
        <v>521063000</v>
      </c>
      <c r="T15" s="31"/>
      <c r="U15" s="31"/>
      <c r="V15" s="31"/>
      <c r="W15" s="31"/>
    </row>
    <row r="16" spans="1:24" s="4" customFormat="1" ht="18.75" x14ac:dyDescent="0.3">
      <c r="A16" s="5">
        <v>14</v>
      </c>
      <c r="B16" s="5">
        <v>12</v>
      </c>
      <c r="C16" s="7" t="s">
        <v>16</v>
      </c>
      <c r="D16" s="8">
        <f t="shared" si="3"/>
        <v>85</v>
      </c>
      <c r="E16" s="8">
        <f t="shared" si="0"/>
        <v>93</v>
      </c>
      <c r="F16" s="9">
        <f t="shared" si="1"/>
        <v>1400967943.9000001</v>
      </c>
      <c r="G16" s="9">
        <f t="shared" si="2"/>
        <v>4284039865.6100001</v>
      </c>
      <c r="H16" s="8">
        <v>83</v>
      </c>
      <c r="I16" s="8">
        <v>90</v>
      </c>
      <c r="J16" s="9">
        <f>(896623605.86+(50000000+68100000+54111000+13451800+98552000+11547638.04+50000000+20000000))+(3000000+48000000+56155700)</f>
        <v>1369541743.9000001</v>
      </c>
      <c r="K16" s="9">
        <f>(2615665869+(475000000+146000000+97000000+30000000+183000000+26093996.61+310000000+50000000))+(19000000+96000000+165000000)</f>
        <v>4212759865.6100001</v>
      </c>
      <c r="L16" s="8">
        <v>2</v>
      </c>
      <c r="M16" s="10">
        <v>3</v>
      </c>
      <c r="N16" s="9">
        <v>31426200</v>
      </c>
      <c r="O16" s="9">
        <v>71280000</v>
      </c>
      <c r="P16" s="2">
        <v>45</v>
      </c>
      <c r="Q16" s="30">
        <v>784215438.04000008</v>
      </c>
      <c r="R16" s="30">
        <v>2519112996.6099997</v>
      </c>
      <c r="T16" s="31"/>
      <c r="U16" s="31"/>
      <c r="V16" s="31"/>
      <c r="W16" s="31"/>
    </row>
    <row r="17" spans="1:23" s="4" customFormat="1" ht="20.25" customHeight="1" x14ac:dyDescent="0.3">
      <c r="A17" s="5">
        <v>18</v>
      </c>
      <c r="B17" s="5">
        <v>13</v>
      </c>
      <c r="C17" s="7" t="s">
        <v>29</v>
      </c>
      <c r="D17" s="8">
        <f t="shared" ref="D17:G20" si="4">H17+L17</f>
        <v>0</v>
      </c>
      <c r="E17" s="8">
        <f t="shared" si="4"/>
        <v>0</v>
      </c>
      <c r="F17" s="9">
        <f t="shared" si="4"/>
        <v>0</v>
      </c>
      <c r="G17" s="9">
        <f t="shared" si="4"/>
        <v>0</v>
      </c>
      <c r="H17" s="8">
        <v>0</v>
      </c>
      <c r="I17" s="8">
        <v>0</v>
      </c>
      <c r="J17" s="9">
        <v>0</v>
      </c>
      <c r="K17" s="9">
        <v>0</v>
      </c>
      <c r="L17" s="8"/>
      <c r="M17" s="10"/>
      <c r="N17" s="9"/>
      <c r="O17" s="9"/>
      <c r="P17" s="2"/>
      <c r="Q17" s="30"/>
      <c r="R17" s="30"/>
      <c r="T17" s="31"/>
      <c r="U17" s="31"/>
      <c r="V17" s="31"/>
      <c r="W17" s="31"/>
    </row>
    <row r="18" spans="1:23" s="4" customFormat="1" ht="20.25" customHeight="1" x14ac:dyDescent="0.3">
      <c r="A18" s="5">
        <v>19</v>
      </c>
      <c r="B18" s="5">
        <v>14</v>
      </c>
      <c r="C18" s="7" t="s">
        <v>30</v>
      </c>
      <c r="D18" s="8">
        <f t="shared" si="4"/>
        <v>1</v>
      </c>
      <c r="E18" s="8">
        <f t="shared" si="4"/>
        <v>1</v>
      </c>
      <c r="F18" s="9">
        <f t="shared" si="4"/>
        <v>10000000</v>
      </c>
      <c r="G18" s="9">
        <f t="shared" si="4"/>
        <v>20000000</v>
      </c>
      <c r="H18" s="8">
        <v>1</v>
      </c>
      <c r="I18" s="8">
        <v>1</v>
      </c>
      <c r="J18" s="9">
        <v>10000000</v>
      </c>
      <c r="K18" s="9">
        <v>20000000</v>
      </c>
      <c r="L18" s="8"/>
      <c r="M18" s="10"/>
      <c r="N18" s="9"/>
      <c r="O18" s="9"/>
      <c r="P18" s="2"/>
      <c r="Q18" s="30"/>
      <c r="R18" s="30"/>
      <c r="T18" s="31"/>
      <c r="U18" s="31"/>
      <c r="V18" s="31"/>
      <c r="W18" s="31"/>
    </row>
    <row r="19" spans="1:23" s="4" customFormat="1" ht="20.25" customHeight="1" x14ac:dyDescent="0.3">
      <c r="A19" s="5"/>
      <c r="B19" s="5">
        <v>15</v>
      </c>
      <c r="C19" s="7" t="s">
        <v>31</v>
      </c>
      <c r="D19" s="8">
        <f t="shared" si="4"/>
        <v>0</v>
      </c>
      <c r="E19" s="8">
        <f t="shared" si="4"/>
        <v>0</v>
      </c>
      <c r="F19" s="9">
        <f t="shared" si="4"/>
        <v>0</v>
      </c>
      <c r="G19" s="9">
        <f t="shared" si="4"/>
        <v>0</v>
      </c>
      <c r="H19" s="8">
        <v>0</v>
      </c>
      <c r="I19" s="8">
        <v>0</v>
      </c>
      <c r="J19" s="9">
        <v>0</v>
      </c>
      <c r="K19" s="9">
        <v>0</v>
      </c>
      <c r="L19" s="8"/>
      <c r="M19" s="10"/>
      <c r="N19" s="9"/>
      <c r="O19" s="9"/>
      <c r="P19" s="2"/>
      <c r="Q19" s="30"/>
      <c r="R19" s="30"/>
      <c r="T19" s="31"/>
      <c r="U19" s="31"/>
      <c r="V19" s="31"/>
      <c r="W19" s="31"/>
    </row>
    <row r="20" spans="1:23" s="4" customFormat="1" ht="18.75" x14ac:dyDescent="0.3">
      <c r="A20" s="5"/>
      <c r="B20" s="5">
        <v>16</v>
      </c>
      <c r="C20" s="7" t="s">
        <v>33</v>
      </c>
      <c r="D20" s="8">
        <f t="shared" si="4"/>
        <v>0</v>
      </c>
      <c r="E20" s="8">
        <f t="shared" si="4"/>
        <v>0</v>
      </c>
      <c r="F20" s="9">
        <f t="shared" si="4"/>
        <v>0</v>
      </c>
      <c r="G20" s="9">
        <f t="shared" si="4"/>
        <v>0</v>
      </c>
      <c r="H20" s="8"/>
      <c r="I20" s="8"/>
      <c r="J20" s="9"/>
      <c r="K20" s="9"/>
      <c r="L20" s="8"/>
      <c r="M20" s="10"/>
      <c r="N20" s="9"/>
      <c r="O20" s="9"/>
      <c r="P20" s="2"/>
      <c r="Q20" s="30"/>
      <c r="R20" s="30"/>
      <c r="T20" s="31"/>
      <c r="U20" s="31"/>
      <c r="V20" s="31"/>
      <c r="W20" s="31"/>
    </row>
    <row r="21" spans="1:23" s="4" customFormat="1" ht="20.25" customHeight="1" x14ac:dyDescent="0.3">
      <c r="A21" s="5">
        <v>15</v>
      </c>
      <c r="B21" s="5">
        <v>17</v>
      </c>
      <c r="C21" s="7" t="s">
        <v>28</v>
      </c>
      <c r="D21" s="8">
        <f t="shared" si="3"/>
        <v>160</v>
      </c>
      <c r="E21" s="8">
        <f t="shared" si="0"/>
        <v>166</v>
      </c>
      <c r="F21" s="9">
        <f t="shared" si="1"/>
        <v>231279389</v>
      </c>
      <c r="G21" s="9">
        <f t="shared" si="2"/>
        <v>777099006</v>
      </c>
      <c r="H21" s="8">
        <f>138+(13+2+4)</f>
        <v>157</v>
      </c>
      <c r="I21" s="8">
        <f>143+(13+3+4)</f>
        <v>163</v>
      </c>
      <c r="J21" s="9">
        <f>(154116682+(1170000+2795000+1500000+17339000+16170000+6842000+170217+326250+5869000))+(5395000+295000+1577240+1110000+3967000+2395000+1642500+2379000+4575000)</f>
        <v>229633889</v>
      </c>
      <c r="K21" s="9">
        <f>(540812006+(2360000+7800000+5000000+63107000+35820000+14850000+620000+2250000+18200000))+(14560000+5000000+5000000+3000000+13690000+6250000+3285000+7930000+16900000)</f>
        <v>766434006</v>
      </c>
      <c r="L21" s="8">
        <v>3</v>
      </c>
      <c r="M21" s="10">
        <v>3</v>
      </c>
      <c r="N21" s="9">
        <f>1205500+440000</f>
        <v>1645500</v>
      </c>
      <c r="O21" s="9">
        <f>5665000+5000000</f>
        <v>10665000</v>
      </c>
      <c r="P21" s="2">
        <v>76</v>
      </c>
      <c r="Q21" s="30">
        <v>165082338</v>
      </c>
      <c r="R21" s="30">
        <v>498997098</v>
      </c>
      <c r="T21" s="31"/>
      <c r="U21" s="31"/>
      <c r="V21" s="31"/>
      <c r="W21" s="31"/>
    </row>
    <row r="22" spans="1:23" s="4" customFormat="1" ht="20.25" customHeight="1" x14ac:dyDescent="0.3">
      <c r="A22" s="5">
        <v>16</v>
      </c>
      <c r="B22" s="5">
        <v>18</v>
      </c>
      <c r="C22" s="7" t="s">
        <v>26</v>
      </c>
      <c r="D22" s="8">
        <f t="shared" si="3"/>
        <v>11</v>
      </c>
      <c r="E22" s="8">
        <f t="shared" si="0"/>
        <v>15</v>
      </c>
      <c r="F22" s="9">
        <f t="shared" si="1"/>
        <v>214772125.35000002</v>
      </c>
      <c r="G22" s="9">
        <f t="shared" si="2"/>
        <v>390827451.23000002</v>
      </c>
      <c r="H22" s="8">
        <v>11</v>
      </c>
      <c r="I22" s="8">
        <v>15</v>
      </c>
      <c r="J22" s="9">
        <f>(98691041.67+(40910000+32258357.63+2382064))+(9727967.05+30802695)</f>
        <v>214772125.35000002</v>
      </c>
      <c r="K22" s="9">
        <f>(188991960.63+(62100000+53967840.6+13963800))+(27800000+44003850)</f>
        <v>390827451.23000002</v>
      </c>
      <c r="L22" s="8"/>
      <c r="M22" s="10"/>
      <c r="N22" s="9"/>
      <c r="O22" s="9"/>
      <c r="P22" s="2">
        <v>13</v>
      </c>
      <c r="Q22" s="30">
        <v>209091083.68000001</v>
      </c>
      <c r="R22" s="30">
        <v>366327451.23000002</v>
      </c>
      <c r="T22" s="31"/>
      <c r="U22" s="31"/>
      <c r="V22" s="31"/>
      <c r="W22" s="31"/>
    </row>
    <row r="23" spans="1:23" s="4" customFormat="1" ht="19.5" customHeight="1" x14ac:dyDescent="0.3">
      <c r="A23" s="5"/>
      <c r="B23" s="42" t="s">
        <v>41</v>
      </c>
      <c r="C23" s="43"/>
      <c r="D23" s="8">
        <f>H23+L23</f>
        <v>223</v>
      </c>
      <c r="E23" s="8">
        <f t="shared" ref="E23:E24" si="5">I23+M23</f>
        <v>246</v>
      </c>
      <c r="F23" s="9">
        <f t="shared" ref="F23:F24" si="6">J23+N23</f>
        <v>871007833.79999995</v>
      </c>
      <c r="G23" s="9">
        <f t="shared" ref="G23:G24" si="7">K23+O23</f>
        <v>2503755853.27</v>
      </c>
      <c r="H23" s="8">
        <f>201+H24</f>
        <v>223</v>
      </c>
      <c r="I23" s="8">
        <f>214+I24</f>
        <v>246</v>
      </c>
      <c r="J23" s="9">
        <f>705907698+J24</f>
        <v>871007833.79999995</v>
      </c>
      <c r="K23" s="9">
        <f>1913465354.27+K24</f>
        <v>2503755853.27</v>
      </c>
      <c r="L23" s="8"/>
      <c r="M23" s="8"/>
      <c r="N23" s="9"/>
      <c r="O23" s="9"/>
      <c r="P23" s="2"/>
      <c r="Q23" s="30"/>
      <c r="R23" s="30"/>
    </row>
    <row r="24" spans="1:23" s="51" customFormat="1" ht="18.75" x14ac:dyDescent="0.3">
      <c r="A24" s="47">
        <v>12</v>
      </c>
      <c r="B24" s="47"/>
      <c r="C24" s="44" t="s">
        <v>14</v>
      </c>
      <c r="D24" s="45">
        <f t="shared" ref="D24" si="8">H24+L24</f>
        <v>22</v>
      </c>
      <c r="E24" s="45">
        <f t="shared" si="5"/>
        <v>32</v>
      </c>
      <c r="F24" s="46">
        <f t="shared" si="6"/>
        <v>165100135.80000001</v>
      </c>
      <c r="G24" s="46">
        <f t="shared" si="7"/>
        <v>590290499</v>
      </c>
      <c r="H24" s="45">
        <v>22</v>
      </c>
      <c r="I24" s="45">
        <v>32</v>
      </c>
      <c r="J24" s="46">
        <v>165100135.80000001</v>
      </c>
      <c r="K24" s="46">
        <v>590290499</v>
      </c>
      <c r="L24" s="45"/>
      <c r="M24" s="48"/>
      <c r="N24" s="46"/>
      <c r="O24" s="46"/>
      <c r="P24" s="49">
        <v>2</v>
      </c>
      <c r="Q24" s="50">
        <v>12180000</v>
      </c>
      <c r="R24" s="50">
        <v>24600000</v>
      </c>
      <c r="T24" s="52"/>
      <c r="U24" s="52"/>
      <c r="V24" s="52"/>
      <c r="W24" s="52"/>
    </row>
    <row r="25" spans="1:23" s="17" customFormat="1" ht="15.75" x14ac:dyDescent="0.25">
      <c r="A25" s="12"/>
      <c r="B25" s="12"/>
      <c r="C25" s="13" t="s">
        <v>0</v>
      </c>
      <c r="D25" s="14">
        <f>H25+L25</f>
        <v>1542</v>
      </c>
      <c r="E25" s="14">
        <f t="shared" ref="E25" si="9">I25+M25</f>
        <v>1727</v>
      </c>
      <c r="F25" s="27">
        <f>J25+N25</f>
        <v>9636240606.8299999</v>
      </c>
      <c r="G25" s="27">
        <f>K25+O25</f>
        <v>38151590154.839996</v>
      </c>
      <c r="H25" s="15">
        <f>SUM(H5:H23)</f>
        <v>1532</v>
      </c>
      <c r="I25" s="15">
        <f t="shared" ref="I25:O25" si="10">SUM(I5:I23)</f>
        <v>1716</v>
      </c>
      <c r="J25" s="15">
        <f t="shared" si="10"/>
        <v>9521329006.8299999</v>
      </c>
      <c r="K25" s="15">
        <f t="shared" si="10"/>
        <v>37901445154.839996</v>
      </c>
      <c r="L25" s="16">
        <f t="shared" si="10"/>
        <v>10</v>
      </c>
      <c r="M25" s="16">
        <f t="shared" si="10"/>
        <v>11</v>
      </c>
      <c r="N25" s="26">
        <f t="shared" si="10"/>
        <v>114911600</v>
      </c>
      <c r="O25" s="26">
        <f t="shared" si="10"/>
        <v>250145000</v>
      </c>
      <c r="P25" s="3">
        <f>SUM(P5:P24)</f>
        <v>427</v>
      </c>
      <c r="Q25" s="3">
        <f t="shared" ref="Q25:R25" si="11">SUM(Q5:Q24)</f>
        <v>3534066356.0999999</v>
      </c>
      <c r="R25" s="3">
        <f t="shared" si="11"/>
        <v>21936511519.790001</v>
      </c>
      <c r="T25" s="32"/>
      <c r="U25" s="32"/>
      <c r="V25" s="32"/>
      <c r="W25" s="32"/>
    </row>
    <row r="27" spans="1:23" ht="15.75" customHeight="1" x14ac:dyDescent="0.25">
      <c r="E27" s="20"/>
      <c r="F27" s="18"/>
      <c r="G27" s="22"/>
      <c r="M27" s="18"/>
      <c r="N27" s="18"/>
      <c r="O27" s="18"/>
    </row>
    <row r="28" spans="1:23" x14ac:dyDescent="0.25">
      <c r="E28" s="20"/>
      <c r="F28" s="18"/>
      <c r="G28" s="24"/>
      <c r="M28" s="18"/>
      <c r="N28" s="18"/>
      <c r="O28" s="18"/>
      <c r="P28" s="20"/>
      <c r="Q28" s="20"/>
      <c r="R28" s="20"/>
    </row>
    <row r="29" spans="1:23" x14ac:dyDescent="0.25">
      <c r="E29" s="21"/>
      <c r="F29" s="21"/>
      <c r="G29" s="21"/>
      <c r="H29" s="20"/>
      <c r="I29" s="18"/>
      <c r="J29" s="18"/>
      <c r="K29" s="18"/>
      <c r="L29" s="18"/>
      <c r="M29" s="22"/>
      <c r="N29" s="18" t="s">
        <v>34</v>
      </c>
      <c r="O29" s="18"/>
      <c r="P29" s="20"/>
      <c r="Q29" s="20"/>
      <c r="R29" s="20"/>
    </row>
    <row r="30" spans="1:23" x14ac:dyDescent="0.25">
      <c r="E30" s="21"/>
      <c r="F30" s="18"/>
      <c r="L30" s="18"/>
      <c r="M30" s="33"/>
      <c r="N30" s="18"/>
      <c r="O30" s="18"/>
      <c r="P30" s="20"/>
      <c r="Q30" s="20"/>
    </row>
    <row r="31" spans="1:23" x14ac:dyDescent="0.25">
      <c r="E31" s="20"/>
      <c r="F31" s="18"/>
      <c r="G31" s="28"/>
      <c r="L31" s="18"/>
      <c r="M31" s="24"/>
      <c r="N31" s="18"/>
      <c r="P31" s="20"/>
      <c r="Q31" s="21"/>
    </row>
    <row r="32" spans="1:23" x14ac:dyDescent="0.25">
      <c r="G32" s="22"/>
      <c r="M32" s="24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9">
    <mergeCell ref="B23:C23"/>
    <mergeCell ref="A1:R2"/>
    <mergeCell ref="P3:R3"/>
    <mergeCell ref="A3:A4"/>
    <mergeCell ref="C3:C4"/>
    <mergeCell ref="L3:O3"/>
    <mergeCell ref="D3:G3"/>
    <mergeCell ref="H3:K3"/>
    <mergeCell ref="B3:B4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2026-03-05T09:38:30Z</dcterms:modified>
</cp:coreProperties>
</file>